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dellaequity-my.sharepoint.com/personal/trevor_adellaequity_com/Documents/GAR, LLC/2027 Budget/"/>
    </mc:Choice>
  </mc:AlternateContent>
  <xr:revisionPtr revIDLastSave="0" documentId="8_{11536EFB-776A-41ED-B648-852488D892C0}" xr6:coauthVersionLast="47" xr6:coauthVersionMax="47" xr10:uidLastSave="{00000000-0000-0000-0000-000000000000}"/>
  <bookViews>
    <workbookView xWindow="33480" yWindow="-120" windowWidth="29040" windowHeight="15720" xr2:uid="{A10DB739-A4D8-40A3-AE53-7D0E41640919}"/>
  </bookViews>
  <sheets>
    <sheet name="Sheet1" sheetId="1" r:id="rId1"/>
  </sheets>
  <externalReferences>
    <externalReference r:id="rId2"/>
  </externalReferences>
  <definedNames>
    <definedName name="AverageSalaryCalculationComment">[1]Cover!$L$36</definedName>
    <definedName name="BudgetVersion">[1]Cover!$D$12</definedName>
    <definedName name="BudgetYearSalary">[1]Cover!$R$32</definedName>
    <definedName name="CTD">[1]Cover!$P$1</definedName>
    <definedName name="P200CareerEducation">'[1]Page 2'!$N$11</definedName>
    <definedName name="P200CareerEducationCY">'[1]Page 2'!$M$11</definedName>
    <definedName name="P200ELLCompensatoryInstruction">'[1]Page 2'!$N$8</definedName>
    <definedName name="P200ELLCompensatoryInstructionCY">'[1]Page 2'!$M$8</definedName>
    <definedName name="P200ELLIncrementalCosts">'[1]Page 2'!$N$7</definedName>
    <definedName name="P200ELLIncrementalCostsCY">'[1]Page 2'!$M$7</definedName>
    <definedName name="P200GiftedEducation">'[1]Page 2'!$N$6</definedName>
    <definedName name="P200GiftedEducationCY">'[1]Page 2'!$M$6</definedName>
    <definedName name="P200RemedialEducation">'[1]Page 2'!$N$9</definedName>
    <definedName name="P200RemedialEducationCY">'[1]Page 2'!$M$9</definedName>
    <definedName name="P200VocationalandTechnologicalEd">'[1]Page 2'!$N$10</definedName>
    <definedName name="P200VocationalandTechnologicalEdCY">'[1]Page 2'!$M$10</definedName>
    <definedName name="PriorYearSalary">[1]Cover!$R$33</definedName>
    <definedName name="SalaryIncreaseFromPriorYear">[1]Cover!$R$34</definedName>
    <definedName name="SalaryPercentageIncrease">[1]Cover!$R$35</definedName>
    <definedName name="SP1000ClassSiteProj">'[1]Page 1'!$L$44</definedName>
    <definedName name="SP1000ClassSiteProjCY">'[1]Page 1'!$K$44</definedName>
    <definedName name="SP1000CompInstrProj">'[1]Page 1'!$L$47</definedName>
    <definedName name="SP1000CompInstrProjCY">'[1]Page 1'!$K$47</definedName>
    <definedName name="SP1000InstrImpProj">'[1]Page 1'!$L$45</definedName>
    <definedName name="SP1000InstrImpProjCY">'[1]Page 1'!$K$45</definedName>
    <definedName name="SP1000P100F1000">'[1]Page 1'!$L$8</definedName>
    <definedName name="SP1000P100F1000CY">'[1]Page 1'!$K$8</definedName>
    <definedName name="SP1000P100F2100">'[1]Page 1'!$L$10</definedName>
    <definedName name="SP1000P100F2100CY">'[1]Page 1'!$K$10</definedName>
    <definedName name="SP1000P100F2200">'[1]Page 1'!$L$11</definedName>
    <definedName name="SP1000P100F2200CY">'[1]Page 1'!$K$11</definedName>
    <definedName name="SP1000P100F2300">'[1]Page 1'!$L$12</definedName>
    <definedName name="SP1000P100F2300CY">'[1]Page 1'!$K$12</definedName>
    <definedName name="SP1000P100F2400">'[1]Page 1'!$L$13</definedName>
    <definedName name="SP1000P100F2400CY">'[1]Page 1'!$K$13</definedName>
    <definedName name="SP1000P100F2500">'[1]Page 1'!$L$14</definedName>
    <definedName name="SP1000P100F2500CY">'[1]Page 1'!$K$14</definedName>
    <definedName name="SP1000P100F2600">'[1]Page 1'!$L$15</definedName>
    <definedName name="SP1000P100F2600CY">'[1]Page 1'!$K$15</definedName>
    <definedName name="SP1000P100F2900">'[1]Page 1'!$L$16</definedName>
    <definedName name="SP1000P100F2900CY">'[1]Page 1'!$K$16</definedName>
    <definedName name="SP1000P100F3000">'[1]Page 1'!$L$17</definedName>
    <definedName name="SP1000P100F3000CY">'[1]Page 1'!$K$17</definedName>
    <definedName name="SP1000P100F4000">'[1]Page 1'!$L$18</definedName>
    <definedName name="SP1000P100F4000CY">'[1]Page 1'!$K$18</definedName>
    <definedName name="SP1000P100F5000">'[1]Page 1'!$L$19</definedName>
    <definedName name="SP1000P100F5000CY">'[1]Page 1'!$K$19</definedName>
    <definedName name="SP1000P200F1000">'[1]Page 1'!$L$25</definedName>
    <definedName name="SP1000P200F1000CY">'[1]Page 1'!$K$25</definedName>
    <definedName name="SP1000P200F2100">'[1]Page 1'!$L$27</definedName>
    <definedName name="SP1000P200F2100CY">'[1]Page 1'!$K$27</definedName>
    <definedName name="SP1000P200F2200">'[1]Page 1'!$L$28</definedName>
    <definedName name="SP1000P200F2200CY">'[1]Page 1'!$K$28</definedName>
    <definedName name="SP1000P200F2300">'[1]Page 1'!$L$29</definedName>
    <definedName name="SP1000P200F2300CY">'[1]Page 1'!$K$29</definedName>
    <definedName name="SP1000P200F2400">'[1]Page 1'!$L$30</definedName>
    <definedName name="SP1000P200F2400CY">'[1]Page 1'!$K$30</definedName>
    <definedName name="SP1000P200F2500">'[1]Page 1'!$L$31</definedName>
    <definedName name="SP1000P200F2500CY">'[1]Page 1'!$K$31</definedName>
    <definedName name="SP1000P200F2600">'[1]Page 1'!$L$32</definedName>
    <definedName name="SP1000P200F2600CY">'[1]Page 1'!$K$32</definedName>
    <definedName name="SP1000P200F2900">'[1]Page 1'!$L$33</definedName>
    <definedName name="SP1000P200F2900CY">'[1]Page 1'!$K$33</definedName>
    <definedName name="SP1000P200F3000">'[1]Page 1'!$L$34</definedName>
    <definedName name="SP1000P200F3000CY">'[1]Page 1'!$K$34</definedName>
    <definedName name="SP1000P200F4000">'[1]Page 1'!$L$35</definedName>
    <definedName name="SP1000P200F4000CY">'[1]Page 1'!$K$35</definedName>
    <definedName name="SP1000P200F5000">'[1]Page 1'!$L$36</definedName>
    <definedName name="SP1000P200F5000CY">'[1]Page 1'!$K$36</definedName>
    <definedName name="SP1000P400">'[1]Page 1'!$L$39</definedName>
    <definedName name="SP1000P400CY">'[1]Page 1'!$K$39</definedName>
    <definedName name="SP1000P530">'[1]Page 1'!$L$40</definedName>
    <definedName name="SP1000P530CY">'[1]Page 1'!$K$40</definedName>
    <definedName name="SP1000P540">'[1]Page 1'!$L$41</definedName>
    <definedName name="SP1000P540CY">'[1]Page 1'!$K$41</definedName>
    <definedName name="SP1000P550">'[1]Page 1'!$L$42</definedName>
    <definedName name="SP1000P550CY">'[1]Page 1'!$K$42</definedName>
    <definedName name="SP1000P610">'[1]Page 1'!$L$20</definedName>
    <definedName name="SP1000P610CY">'[1]Page 1'!$K$20</definedName>
    <definedName name="SP1000P620">'[1]Page 1'!$L$21</definedName>
    <definedName name="SP1000P620CY">'[1]Page 1'!$K$21</definedName>
    <definedName name="SP1000P630700800900">'[1]Page 1'!$L$22</definedName>
    <definedName name="SP1000P630700800900CY">'[1]Page 1'!$K$22</definedName>
    <definedName name="SP1000StruEngImmProj">'[1]Page 1'!$L$46</definedName>
    <definedName name="SP1000StruEngImmProjCY">'[1]Page 1'!$K$46</definedName>
    <definedName name="SP1000Total">'[1]Page 1'!$L$43</definedName>
    <definedName name="SP1000TotalCY">'[1]Page 1'!$K$43</definedName>
    <definedName name="TotalCapitalAcquisitions">'[1]Page 2'!$E$46</definedName>
    <definedName name="TotalCapitalAcquisitionsCY">'[1]Page 2'!$D$46</definedName>
    <definedName name="TotalFederalProjects">'[1]Page 2'!$E$22</definedName>
    <definedName name="TotalFederalProjectsCY">'[1]Page 2'!$D$22</definedName>
    <definedName name="TotalStateProjects">'[1]Page 2'!$E$36</definedName>
    <definedName name="TotalStateProjectsCY">'[1]Page 2'!$D$36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1" l="1"/>
  <c r="L40" i="1"/>
  <c r="E40" i="1"/>
  <c r="D40" i="1"/>
  <c r="F40" i="1" s="1"/>
  <c r="L39" i="1"/>
  <c r="E39" i="1"/>
  <c r="D39" i="1"/>
  <c r="F39" i="1" s="1"/>
  <c r="L38" i="1"/>
  <c r="E38" i="1"/>
  <c r="D38" i="1"/>
  <c r="F38" i="1" s="1"/>
  <c r="L37" i="1"/>
  <c r="E37" i="1"/>
  <c r="D37" i="1"/>
  <c r="F37" i="1" s="1"/>
  <c r="M35" i="1"/>
  <c r="F34" i="1"/>
  <c r="E34" i="1"/>
  <c r="D34" i="1"/>
  <c r="E33" i="1"/>
  <c r="D33" i="1"/>
  <c r="F33" i="1" s="1"/>
  <c r="K32" i="1"/>
  <c r="J32" i="1"/>
  <c r="L32" i="1" s="1"/>
  <c r="F32" i="1"/>
  <c r="E32" i="1"/>
  <c r="D32" i="1"/>
  <c r="K31" i="1"/>
  <c r="J31" i="1"/>
  <c r="L31" i="1" s="1"/>
  <c r="E31" i="1"/>
  <c r="D31" i="1"/>
  <c r="F31" i="1" s="1"/>
  <c r="K30" i="1"/>
  <c r="J30" i="1"/>
  <c r="L30" i="1" s="1"/>
  <c r="F30" i="1"/>
  <c r="E30" i="1"/>
  <c r="D30" i="1"/>
  <c r="K29" i="1"/>
  <c r="J29" i="1"/>
  <c r="L29" i="1" s="1"/>
  <c r="E29" i="1"/>
  <c r="D29" i="1"/>
  <c r="F29" i="1" s="1"/>
  <c r="K28" i="1"/>
  <c r="J28" i="1"/>
  <c r="L28" i="1" s="1"/>
  <c r="F28" i="1"/>
  <c r="E28" i="1"/>
  <c r="D28" i="1"/>
  <c r="K27" i="1"/>
  <c r="J27" i="1"/>
  <c r="L27" i="1" s="1"/>
  <c r="E27" i="1"/>
  <c r="D27" i="1"/>
  <c r="F27" i="1" s="1"/>
  <c r="K26" i="1"/>
  <c r="J26" i="1"/>
  <c r="L26" i="1" s="1"/>
  <c r="F26" i="1"/>
  <c r="E26" i="1"/>
  <c r="D26" i="1"/>
  <c r="K25" i="1"/>
  <c r="K33" i="1" s="1"/>
  <c r="J25" i="1"/>
  <c r="L25" i="1" s="1"/>
  <c r="E25" i="1"/>
  <c r="D25" i="1"/>
  <c r="F25" i="1" s="1"/>
  <c r="E23" i="1"/>
  <c r="E35" i="1" s="1"/>
  <c r="D23" i="1"/>
  <c r="D35" i="1" s="1"/>
  <c r="F35" i="1" s="1"/>
  <c r="E20" i="1"/>
  <c r="D20" i="1"/>
  <c r="F20" i="1" s="1"/>
  <c r="E19" i="1"/>
  <c r="D19" i="1"/>
  <c r="F19" i="1" s="1"/>
  <c r="M18" i="1"/>
  <c r="L18" i="1"/>
  <c r="K18" i="1"/>
  <c r="E18" i="1"/>
  <c r="D18" i="1"/>
  <c r="F18" i="1" s="1"/>
  <c r="L17" i="1"/>
  <c r="K17" i="1"/>
  <c r="M17" i="1" s="1"/>
  <c r="E17" i="1"/>
  <c r="D17" i="1"/>
  <c r="F17" i="1" s="1"/>
  <c r="M16" i="1"/>
  <c r="L16" i="1"/>
  <c r="K16" i="1"/>
  <c r="E16" i="1"/>
  <c r="D16" i="1"/>
  <c r="F16" i="1" s="1"/>
  <c r="L15" i="1"/>
  <c r="K15" i="1"/>
  <c r="M15" i="1" s="1"/>
  <c r="E15" i="1"/>
  <c r="D15" i="1"/>
  <c r="F15" i="1" s="1"/>
  <c r="M14" i="1"/>
  <c r="L14" i="1"/>
  <c r="K14" i="1"/>
  <c r="E14" i="1"/>
  <c r="D14" i="1"/>
  <c r="F14" i="1" s="1"/>
  <c r="L13" i="1"/>
  <c r="K13" i="1"/>
  <c r="K19" i="1" s="1"/>
  <c r="E13" i="1"/>
  <c r="D13" i="1"/>
  <c r="F13" i="1" s="1"/>
  <c r="L12" i="1"/>
  <c r="M12" i="1" s="1"/>
  <c r="K12" i="1"/>
  <c r="E12" i="1"/>
  <c r="D12" i="1"/>
  <c r="F12" i="1" s="1"/>
  <c r="E11" i="1"/>
  <c r="D11" i="1"/>
  <c r="F11" i="1" s="1"/>
  <c r="E10" i="1"/>
  <c r="D10" i="1"/>
  <c r="F10" i="1" s="1"/>
  <c r="F9" i="1"/>
  <c r="E9" i="1"/>
  <c r="D9" i="1"/>
  <c r="E8" i="1"/>
  <c r="D8" i="1"/>
  <c r="F8" i="1" s="1"/>
  <c r="E6" i="1"/>
  <c r="E21" i="1" s="1"/>
  <c r="D6" i="1"/>
  <c r="D21" i="1" s="1"/>
  <c r="H3" i="1"/>
  <c r="L1" i="1"/>
  <c r="A1" i="1"/>
  <c r="M19" i="1" l="1"/>
  <c r="L19" i="1"/>
  <c r="E41" i="1"/>
  <c r="F21" i="1"/>
  <c r="D41" i="1"/>
  <c r="F41" i="1" s="1"/>
  <c r="F23" i="1"/>
  <c r="F6" i="1"/>
  <c r="M13" i="1"/>
  <c r="J33" i="1"/>
  <c r="L33" i="1" s="1"/>
</calcChain>
</file>

<file path=xl/sharedStrings.xml><?xml version="1.0" encoding="utf-8"?>
<sst xmlns="http://schemas.openxmlformats.org/spreadsheetml/2006/main" count="82" uniqueCount="57">
  <si>
    <t>CTDS number</t>
  </si>
  <si>
    <t>Instructions</t>
  </si>
  <si>
    <t>1000 Schoolwide Project</t>
  </si>
  <si>
    <t>Totals</t>
  </si>
  <si>
    <t>%</t>
  </si>
  <si>
    <t>Prior year</t>
  </si>
  <si>
    <t>Budget year</t>
  </si>
  <si>
    <t>Increase/</t>
  </si>
  <si>
    <t>100 Regular education</t>
  </si>
  <si>
    <t>decrease</t>
  </si>
  <si>
    <t>1000 Instruction</t>
  </si>
  <si>
    <t>Support services</t>
  </si>
  <si>
    <t>2100 Students</t>
  </si>
  <si>
    <t>2200 Instruction</t>
  </si>
  <si>
    <t>2300 General administration</t>
  </si>
  <si>
    <t>Special education programs</t>
  </si>
  <si>
    <t>2400 School administration</t>
  </si>
  <si>
    <t>2500 Central services</t>
  </si>
  <si>
    <t>Total all disability classifications</t>
  </si>
  <si>
    <t>2600 Operation &amp; maintenance of plant</t>
  </si>
  <si>
    <t>Gifted education</t>
  </si>
  <si>
    <t>2900 Other support services</t>
  </si>
  <si>
    <t>ELL incremental costs</t>
  </si>
  <si>
    <t>3000 Operation of noninstructional services</t>
  </si>
  <si>
    <t>ELL compensatory instruction</t>
  </si>
  <si>
    <t>4000 Facilities acquisition &amp; construction</t>
  </si>
  <si>
    <t>Remedial education</t>
  </si>
  <si>
    <t>5000 Debt service</t>
  </si>
  <si>
    <t>Vocational and technical ed.</t>
  </si>
  <si>
    <t>610 School-sponsored cocurricular activities</t>
  </si>
  <si>
    <t>Career education</t>
  </si>
  <si>
    <t>620 School-sponsored athletics</t>
  </si>
  <si>
    <t>Total</t>
  </si>
  <si>
    <t>630, 700, 800, 900 Other programs</t>
  </si>
  <si>
    <t>Regular education subtotal</t>
  </si>
  <si>
    <t>Expenses by project</t>
  </si>
  <si>
    <t>200 Special education</t>
  </si>
  <si>
    <t>Schoolwide</t>
  </si>
  <si>
    <t>Classroom Site Project</t>
  </si>
  <si>
    <t>Instructional Improvement</t>
  </si>
  <si>
    <t>English Language Learner</t>
  </si>
  <si>
    <t>ELL Compensatory Instruction</t>
  </si>
  <si>
    <t>Federal projects</t>
  </si>
  <si>
    <t>State projects</t>
  </si>
  <si>
    <t>Capital acquisitions</t>
  </si>
  <si>
    <t>Total expenses</t>
  </si>
  <si>
    <t>Special education subtotal</t>
  </si>
  <si>
    <t>Average teacher salary</t>
  </si>
  <si>
    <t>300 Special Ed.Disability Title 8 PL 103-382 Add-On</t>
  </si>
  <si>
    <t>400 Pupil transportation</t>
  </si>
  <si>
    <r>
      <t xml:space="preserve">Average salary of all teachers employed in the budget year </t>
    </r>
    <r>
      <rPr>
        <sz val="11"/>
        <color theme="1"/>
        <rFont val="Calibri"/>
        <family val="2"/>
        <scheme val="minor"/>
      </rPr>
      <t>2027</t>
    </r>
  </si>
  <si>
    <t>530 Dropout prevention programs</t>
  </si>
  <si>
    <r>
      <t>Average salary of all teachers employed in the prior year</t>
    </r>
    <r>
      <rPr>
        <sz val="11"/>
        <color theme="1"/>
        <rFont val="Calibri"/>
        <family val="2"/>
        <scheme val="minor"/>
      </rPr>
      <t xml:space="preserve"> 2026</t>
    </r>
  </si>
  <si>
    <t>540 Joint career &amp; tech. ed. &amp; voc. ed. center</t>
  </si>
  <si>
    <r>
      <t xml:space="preserve">Increase in average teacher salary from the prior year </t>
    </r>
    <r>
      <rPr>
        <sz val="11"/>
        <color theme="1"/>
        <rFont val="Calibri"/>
        <family val="2"/>
        <scheme val="minor"/>
      </rPr>
      <t>2026</t>
    </r>
  </si>
  <si>
    <t>550 K-3 Reading</t>
  </si>
  <si>
    <t>Percentage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</si>
</sst>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sz val="10"/>
      <color rgb="FF000000"/>
      <name val="Arial"/>
      <family val="2"/>
    </font>
    <font>
      <b/>
      <sz val="10"/>
      <color rgb="FF0000FF"/>
      <name val="Arial"/>
      <family val="2"/>
    </font>
    <font>
      <b/>
      <sz val="10"/>
      <color rgb="FF000000"/>
      <name val="Arial"/>
      <family val="2"/>
    </font>
    <font>
      <b/>
      <sz val="10"/>
      <color rgb="FFFF0000"/>
      <name val="Arial"/>
      <family val="2"/>
    </font>
  </fonts>
  <fills count="3">
    <fill>
      <patternFill patternType="none"/>
    </fill>
    <fill>
      <patternFill patternType="gray125"/>
    </fill>
    <fill>
      <patternFill patternType="solid">
        <fgColor rgb="FFCCFFFF"/>
        <bgColor indexed="64"/>
      </patternFill>
    </fill>
  </fills>
  <borders count="1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4">
    <xf numFmtId="0" fontId="0" fillId="0" borderId="0" xfId="0"/>
    <xf numFmtId="0" fontId="3" fillId="0" borderId="0" xfId="0" applyFont="1" applyAlignment="1">
      <alignment horizontal="center"/>
    </xf>
    <xf numFmtId="0" fontId="0" fillId="0" borderId="0" xfId="0" applyAlignment="1">
      <alignment horizontal="left"/>
    </xf>
    <xf numFmtId="49" fontId="4" fillId="0" borderId="1" xfId="0" applyNumberFormat="1" applyFont="1" applyBorder="1"/>
    <xf numFmtId="0" fontId="4" fillId="0" borderId="0" xfId="0" applyFont="1"/>
    <xf numFmtId="0" fontId="5" fillId="2" borderId="0" xfId="2" applyFont="1" applyFill="1" applyAlignment="1" applyProtection="1">
      <alignment horizontal="center" vertical="center"/>
    </xf>
    <xf numFmtId="0" fontId="3" fillId="0" borderId="2" xfId="0" applyFont="1" applyBorder="1"/>
    <xf numFmtId="0" fontId="4" fillId="0" borderId="3" xfId="0" applyFont="1" applyBorder="1"/>
    <xf numFmtId="0" fontId="4" fillId="0" borderId="2"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6" xfId="0" applyFont="1" applyBorder="1"/>
    <xf numFmtId="0" fontId="0" fillId="0" borderId="5" xfId="0" applyBorder="1" applyAlignment="1">
      <alignment horizontal="center"/>
    </xf>
    <xf numFmtId="0" fontId="4" fillId="0" borderId="7"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xf>
    <xf numFmtId="0" fontId="4" fillId="0" borderId="9" xfId="0" applyFont="1" applyBorder="1" applyAlignment="1">
      <alignment horizontal="center"/>
    </xf>
    <xf numFmtId="38" fontId="4" fillId="0" borderId="8" xfId="0" applyNumberFormat="1" applyFont="1" applyBorder="1"/>
    <xf numFmtId="164" fontId="0" fillId="0" borderId="5" xfId="0" applyNumberFormat="1" applyBorder="1"/>
    <xf numFmtId="0" fontId="4" fillId="0" borderId="5" xfId="0" applyFont="1" applyBorder="1"/>
    <xf numFmtId="0" fontId="4" fillId="0" borderId="2" xfId="0" applyFont="1" applyBorder="1"/>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38" fontId="4" fillId="0" borderId="10" xfId="0" applyNumberFormat="1" applyFont="1" applyBorder="1"/>
    <xf numFmtId="164" fontId="0" fillId="0" borderId="8" xfId="0" applyNumberFormat="1" applyBorder="1"/>
    <xf numFmtId="0" fontId="4" fillId="0" borderId="0" xfId="0" applyFont="1" applyAlignment="1">
      <alignment vertical="center" wrapText="1"/>
    </xf>
    <xf numFmtId="38" fontId="4" fillId="0" borderId="11" xfId="0" applyNumberFormat="1" applyFont="1" applyBorder="1"/>
    <xf numFmtId="164" fontId="0" fillId="0" borderId="12" xfId="0" applyNumberFormat="1" applyBorder="1"/>
    <xf numFmtId="0" fontId="4" fillId="0" borderId="4" xfId="0" applyFont="1" applyBorder="1"/>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left"/>
    </xf>
    <xf numFmtId="0" fontId="6" fillId="0" borderId="0" xfId="0" applyFont="1" applyAlignment="1">
      <alignment horizontal="left"/>
    </xf>
    <xf numFmtId="0" fontId="4" fillId="0" borderId="7" xfId="0" applyFont="1" applyBorder="1"/>
    <xf numFmtId="0" fontId="6" fillId="0" borderId="10" xfId="0" applyFont="1" applyBorder="1" applyAlignment="1">
      <alignment horizontal="left"/>
    </xf>
    <xf numFmtId="0" fontId="6" fillId="0" borderId="1" xfId="0" applyFont="1" applyBorder="1" applyAlignment="1">
      <alignment horizontal="left"/>
    </xf>
    <xf numFmtId="0" fontId="4" fillId="0" borderId="9" xfId="0" applyFont="1" applyBorder="1"/>
    <xf numFmtId="0" fontId="0" fillId="0" borderId="6" xfId="0" applyBorder="1" applyAlignment="1">
      <alignment horizontal="left"/>
    </xf>
    <xf numFmtId="0" fontId="0" fillId="0" borderId="7" xfId="0" applyBorder="1"/>
    <xf numFmtId="38" fontId="4" fillId="0" borderId="5" xfId="0" applyNumberFormat="1" applyFont="1" applyBorder="1"/>
    <xf numFmtId="0" fontId="0" fillId="0" borderId="10" xfId="0" applyBorder="1" applyAlignment="1">
      <alignment horizontal="left"/>
    </xf>
    <xf numFmtId="0" fontId="0" fillId="0" borderId="1" xfId="0" applyBorder="1" applyAlignment="1">
      <alignment horizontal="left"/>
    </xf>
    <xf numFmtId="164" fontId="0" fillId="0" borderId="11" xfId="0" applyNumberFormat="1" applyBorder="1"/>
    <xf numFmtId="0" fontId="4" fillId="0" borderId="0" xfId="0" applyFont="1" applyAlignment="1">
      <alignment horizontal="left"/>
    </xf>
    <xf numFmtId="38" fontId="4" fillId="0" borderId="0" xfId="0" applyNumberFormat="1" applyFont="1"/>
    <xf numFmtId="164" fontId="0" fillId="0" borderId="0" xfId="0" applyNumberFormat="1"/>
    <xf numFmtId="0" fontId="4" fillId="0" borderId="10" xfId="0" applyFont="1" applyBorder="1"/>
    <xf numFmtId="0" fontId="4" fillId="0" borderId="1" xfId="0" applyFont="1" applyBorder="1"/>
    <xf numFmtId="0" fontId="3" fillId="0" borderId="13" xfId="0" applyFont="1" applyBorder="1" applyAlignment="1">
      <alignment horizontal="center"/>
    </xf>
    <xf numFmtId="0" fontId="3" fillId="0" borderId="15" xfId="0" applyFont="1" applyBorder="1" applyAlignment="1">
      <alignment horizontal="center"/>
    </xf>
    <xf numFmtId="0" fontId="3" fillId="0" borderId="14" xfId="0" applyFont="1" applyBorder="1" applyAlignment="1">
      <alignment horizontal="center"/>
    </xf>
    <xf numFmtId="38" fontId="4" fillId="0" borderId="13" xfId="0" applyNumberFormat="1" applyFont="1" applyBorder="1" applyAlignment="1">
      <alignment horizontal="center"/>
    </xf>
    <xf numFmtId="38" fontId="4" fillId="0" borderId="14" xfId="0" applyNumberFormat="1" applyFont="1" applyBorder="1" applyAlignment="1">
      <alignment horizontal="center"/>
    </xf>
    <xf numFmtId="38" fontId="4" fillId="0" borderId="12" xfId="0" applyNumberFormat="1" applyFont="1" applyBorder="1"/>
    <xf numFmtId="38" fontId="4" fillId="0" borderId="6" xfId="0" applyNumberFormat="1" applyFont="1" applyBorder="1"/>
    <xf numFmtId="0" fontId="6" fillId="0" borderId="6" xfId="0" applyFont="1" applyBorder="1"/>
    <xf numFmtId="0" fontId="4" fillId="0" borderId="13" xfId="0" applyFont="1" applyBorder="1"/>
    <xf numFmtId="0" fontId="4" fillId="0" borderId="15" xfId="0" applyFont="1" applyBorder="1"/>
    <xf numFmtId="0" fontId="0" fillId="0" borderId="13" xfId="0" applyBorder="1"/>
    <xf numFmtId="0" fontId="3" fillId="0" borderId="11" xfId="0" applyFont="1" applyBorder="1" applyAlignment="1">
      <alignment horizontal="center"/>
    </xf>
    <xf numFmtId="0" fontId="7" fillId="0" borderId="0" xfId="0" applyFont="1" applyAlignment="1">
      <alignment horizontal="center" vertical="top" wrapText="1"/>
    </xf>
    <xf numFmtId="0" fontId="7" fillId="0" borderId="0" xfId="0" applyFont="1" applyAlignment="1">
      <alignment vertical="top" wrapText="1"/>
    </xf>
    <xf numFmtId="0" fontId="4" fillId="0" borderId="0" xfId="0" applyFont="1" applyAlignment="1">
      <alignment horizontal="center"/>
    </xf>
    <xf numFmtId="0" fontId="4" fillId="0" borderId="14" xfId="0" applyFont="1" applyBorder="1"/>
    <xf numFmtId="0" fontId="0" fillId="0" borderId="11" xfId="0" applyBorder="1" applyAlignment="1">
      <alignment horizontal="left"/>
    </xf>
    <xf numFmtId="38" fontId="0" fillId="0" borderId="11" xfId="0" applyNumberFormat="1" applyBorder="1"/>
    <xf numFmtId="164" fontId="0" fillId="0" borderId="11" xfId="1" applyNumberFormat="1" applyFont="1" applyBorder="1" applyAlignment="1" applyProtection="1">
      <alignment horizontal="right"/>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vertical="top"/>
    </xf>
    <xf numFmtId="0" fontId="4" fillId="0" borderId="10" xfId="0" applyFont="1" applyBorder="1" applyAlignment="1">
      <alignment horizontal="left" vertical="top" wrapText="1"/>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right"/>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S%20FORMS/budget27.xlsx" TargetMode="External"/><Relationship Id="rId2" Type="http://schemas.openxmlformats.org/officeDocument/2006/relationships/externalLinkPath" Target="https://adellaequity-my.sharepoint.com/personal/trevor_adellaequity_com/Documents/GAR,%20LLC/CS%20FORMS/budget27.xlsx" TargetMode="External"/><Relationship Id="rId1" Type="http://schemas.openxmlformats.org/officeDocument/2006/relationships/externalLinkPath" Target="/personal/trevor_adellaequity_com/Documents/GAR,%20LLC/CS%20FORMS/budget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age 1"/>
      <sheetName val="Page 2"/>
      <sheetName val="Page 3"/>
      <sheetName val="Page 4"/>
      <sheetName val="Budget Summary"/>
      <sheetName val="Project balances"/>
      <sheetName val="Data Entry"/>
      <sheetName val="Calculations"/>
      <sheetName val="BSA55"/>
      <sheetName val="Instructions"/>
    </sheetNames>
    <sheetDataSet>
      <sheetData sheetId="0">
        <row r="1">
          <cell r="D1" t="str">
            <v>GAR, LLC</v>
          </cell>
          <cell r="P1" t="str">
            <v>078679000</v>
          </cell>
        </row>
        <row r="3">
          <cell r="D3" t="str">
            <v>Student Choice High School</v>
          </cell>
        </row>
        <row r="12">
          <cell r="D12" t="str">
            <v>Proposed</v>
          </cell>
        </row>
        <row r="15">
          <cell r="O15" t="str">
            <v>Scott Lopez</v>
          </cell>
        </row>
        <row r="16">
          <cell r="M16">
            <v>6023344104</v>
          </cell>
          <cell r="P16" t="str">
            <v>scott@schsaz.com</v>
          </cell>
        </row>
        <row r="21">
          <cell r="F21">
            <v>46185</v>
          </cell>
        </row>
        <row r="32">
          <cell r="R32">
            <v>65807</v>
          </cell>
        </row>
        <row r="33">
          <cell r="R33">
            <v>64517</v>
          </cell>
        </row>
        <row r="34">
          <cell r="R34">
            <v>1290</v>
          </cell>
        </row>
        <row r="35">
          <cell r="R35">
            <v>0.02</v>
          </cell>
        </row>
        <row r="36">
          <cell r="L36" t="str">
            <v>Comments on average salary calculation (optional):</v>
          </cell>
        </row>
      </sheetData>
      <sheetData sheetId="1">
        <row r="8">
          <cell r="K8">
            <v>8809353</v>
          </cell>
          <cell r="L8">
            <v>8764561</v>
          </cell>
        </row>
        <row r="10">
          <cell r="K10">
            <v>2923513</v>
          </cell>
          <cell r="L10">
            <v>3370463</v>
          </cell>
        </row>
        <row r="11">
          <cell r="K11">
            <v>0</v>
          </cell>
          <cell r="L11">
            <v>108000</v>
          </cell>
        </row>
        <row r="12">
          <cell r="K12">
            <v>0</v>
          </cell>
          <cell r="L12">
            <v>0</v>
          </cell>
        </row>
        <row r="13">
          <cell r="K13">
            <v>3625916</v>
          </cell>
          <cell r="L13">
            <v>4018959</v>
          </cell>
        </row>
        <row r="14">
          <cell r="K14">
            <v>584800</v>
          </cell>
          <cell r="L14">
            <v>228200</v>
          </cell>
        </row>
        <row r="15">
          <cell r="K15">
            <v>1288921</v>
          </cell>
          <cell r="L15">
            <v>1469220</v>
          </cell>
        </row>
        <row r="16">
          <cell r="K16">
            <v>0</v>
          </cell>
          <cell r="L16">
            <v>0</v>
          </cell>
        </row>
        <row r="17">
          <cell r="K17">
            <v>0</v>
          </cell>
          <cell r="L17">
            <v>0</v>
          </cell>
        </row>
        <row r="18">
          <cell r="K18">
            <v>0</v>
          </cell>
          <cell r="L18">
            <v>0</v>
          </cell>
        </row>
        <row r="19">
          <cell r="K19">
            <v>0</v>
          </cell>
          <cell r="L19">
            <v>0</v>
          </cell>
        </row>
        <row r="20">
          <cell r="K20">
            <v>0</v>
          </cell>
          <cell r="L20">
            <v>0</v>
          </cell>
        </row>
        <row r="21">
          <cell r="K21">
            <v>0</v>
          </cell>
          <cell r="L21">
            <v>0</v>
          </cell>
        </row>
        <row r="22">
          <cell r="K22">
            <v>0</v>
          </cell>
          <cell r="L22">
            <v>0</v>
          </cell>
        </row>
        <row r="25">
          <cell r="K25">
            <v>480000</v>
          </cell>
          <cell r="L25">
            <v>422400</v>
          </cell>
        </row>
        <row r="27">
          <cell r="K27">
            <v>0</v>
          </cell>
          <cell r="L27">
            <v>0</v>
          </cell>
        </row>
        <row r="28">
          <cell r="K28">
            <v>0</v>
          </cell>
          <cell r="L28">
            <v>0</v>
          </cell>
        </row>
        <row r="29">
          <cell r="K29">
            <v>0</v>
          </cell>
          <cell r="L29">
            <v>0</v>
          </cell>
        </row>
        <row r="30">
          <cell r="K30">
            <v>0</v>
          </cell>
          <cell r="L30">
            <v>0</v>
          </cell>
        </row>
        <row r="31">
          <cell r="K31">
            <v>0</v>
          </cell>
          <cell r="L31">
            <v>0</v>
          </cell>
        </row>
        <row r="32">
          <cell r="K32">
            <v>0</v>
          </cell>
          <cell r="L32">
            <v>0</v>
          </cell>
        </row>
        <row r="33">
          <cell r="K33">
            <v>0</v>
          </cell>
          <cell r="L33">
            <v>0</v>
          </cell>
        </row>
        <row r="34">
          <cell r="K34">
            <v>0</v>
          </cell>
          <cell r="L34">
            <v>0</v>
          </cell>
        </row>
        <row r="35">
          <cell r="K35">
            <v>0</v>
          </cell>
          <cell r="L35">
            <v>0</v>
          </cell>
        </row>
        <row r="36">
          <cell r="K36">
            <v>0</v>
          </cell>
          <cell r="L36">
            <v>0</v>
          </cell>
        </row>
        <row r="39">
          <cell r="K39">
            <v>6000</v>
          </cell>
          <cell r="L39">
            <v>4800</v>
          </cell>
        </row>
        <row r="40">
          <cell r="K40">
            <v>0</v>
          </cell>
          <cell r="L40">
            <v>0</v>
          </cell>
        </row>
        <row r="41">
          <cell r="K41">
            <v>0</v>
          </cell>
          <cell r="L41">
            <v>0</v>
          </cell>
        </row>
        <row r="42">
          <cell r="K42">
            <v>0</v>
          </cell>
          <cell r="L42">
            <v>0</v>
          </cell>
        </row>
        <row r="43">
          <cell r="K43">
            <v>17718503</v>
          </cell>
          <cell r="L43">
            <v>18386603</v>
          </cell>
        </row>
        <row r="44">
          <cell r="K44">
            <v>1922280</v>
          </cell>
          <cell r="L44">
            <v>1742797</v>
          </cell>
        </row>
        <row r="45">
          <cell r="K45">
            <v>75000</v>
          </cell>
          <cell r="L45">
            <v>75000</v>
          </cell>
        </row>
        <row r="46">
          <cell r="K46">
            <v>85800</v>
          </cell>
          <cell r="L46">
            <v>85800</v>
          </cell>
        </row>
        <row r="47">
          <cell r="K47">
            <v>0</v>
          </cell>
          <cell r="L47">
            <v>0</v>
          </cell>
        </row>
      </sheetData>
      <sheetData sheetId="2">
        <row r="5">
          <cell r="M5">
            <v>480000</v>
          </cell>
          <cell r="N5">
            <v>422400</v>
          </cell>
        </row>
        <row r="6">
          <cell r="M6">
            <v>0</v>
          </cell>
          <cell r="N6">
            <v>0</v>
          </cell>
        </row>
        <row r="7">
          <cell r="M7">
            <v>0</v>
          </cell>
          <cell r="N7">
            <v>0</v>
          </cell>
        </row>
        <row r="8">
          <cell r="M8">
            <v>0</v>
          </cell>
          <cell r="N8">
            <v>0</v>
          </cell>
        </row>
        <row r="9">
          <cell r="M9">
            <v>0</v>
          </cell>
          <cell r="N9">
            <v>0</v>
          </cell>
        </row>
        <row r="10">
          <cell r="M10">
            <v>0</v>
          </cell>
          <cell r="N10">
            <v>0</v>
          </cell>
        </row>
        <row r="11">
          <cell r="M11">
            <v>0</v>
          </cell>
          <cell r="N11">
            <v>0</v>
          </cell>
        </row>
        <row r="22">
          <cell r="D22">
            <v>0</v>
          </cell>
          <cell r="E22">
            <v>0</v>
          </cell>
        </row>
        <row r="36">
          <cell r="D36">
            <v>0</v>
          </cell>
          <cell r="E36">
            <v>0</v>
          </cell>
        </row>
        <row r="46">
          <cell r="D46">
            <v>0</v>
          </cell>
          <cell r="E46">
            <v>0</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9B4A8-B7DC-4FB5-B014-ED36FCEC28B0}">
  <dimension ref="A1:O55"/>
  <sheetViews>
    <sheetView tabSelected="1" workbookViewId="0">
      <selection activeCell="K15" sqref="K15"/>
    </sheetView>
  </sheetViews>
  <sheetFormatPr defaultColWidth="9" defaultRowHeight="12.5" x14ac:dyDescent="0.25"/>
  <cols>
    <col min="1" max="2" width="1.54296875" style="4" customWidth="1"/>
    <col min="3" max="3" width="42" style="4" customWidth="1"/>
    <col min="4" max="5" width="12.54296875" style="4" customWidth="1"/>
    <col min="6" max="6" width="9.54296875" style="4" customWidth="1"/>
    <col min="7" max="7" width="4.54296875" style="4" customWidth="1"/>
    <col min="8" max="8" width="27.453125" style="4" customWidth="1"/>
    <col min="9" max="9" width="5.453125" style="4" customWidth="1"/>
    <col min="10" max="10" width="12.54296875" style="4" customWidth="1"/>
    <col min="11" max="11" width="13.54296875" style="4" customWidth="1"/>
    <col min="12" max="12" width="12.54296875" style="4" customWidth="1"/>
    <col min="13" max="13" width="9.54296875" style="4" customWidth="1"/>
    <col min="14" max="16384" width="9" style="4"/>
  </cols>
  <sheetData>
    <row r="1" spans="1:15" ht="23.25" customHeight="1" x14ac:dyDescent="0.35">
      <c r="A1" s="1" t="str">
        <f>IF(OR(BudgetVersion="Proposed",BudgetVersion=""),"FY 2027 Summary of charter school proposed budget",IF(BudgetVersion="Adopted","FY 2027 Summary of charter school adopted budget","FY 2027 Summary of charter school revised budget"))</f>
        <v>FY 2027 Summary of charter school proposed budget</v>
      </c>
      <c r="B1" s="1"/>
      <c r="C1" s="1"/>
      <c r="D1" s="1"/>
      <c r="E1" s="1"/>
      <c r="F1" s="1"/>
      <c r="G1" s="1"/>
      <c r="H1" s="1"/>
      <c r="I1" s="1"/>
      <c r="J1" s="1"/>
      <c r="K1" s="2" t="s">
        <v>0</v>
      </c>
      <c r="L1" s="3" t="str">
        <f>CTD</f>
        <v>078679000</v>
      </c>
      <c r="N1" s="5" t="s">
        <v>1</v>
      </c>
      <c r="O1" s="5"/>
    </row>
    <row r="2" spans="1:15" ht="3.75" customHeight="1" x14ac:dyDescent="0.25"/>
    <row r="3" spans="1:15" ht="12" customHeight="1" x14ac:dyDescent="0.3">
      <c r="A3" s="6" t="s">
        <v>2</v>
      </c>
      <c r="B3" s="7"/>
      <c r="C3" s="7"/>
      <c r="D3" s="8" t="s">
        <v>3</v>
      </c>
      <c r="E3" s="9"/>
      <c r="F3" s="10" t="s">
        <v>4</v>
      </c>
      <c r="H3" s="11" t="str">
        <f>CONCATENATE("The budget of ",IF([1]Cover!$D$3=0,[1]Cover!$D$1,(CONCATENATE([1]Cover!$D$1," (d.b.a. ",[1]Cover!$D$3,")")))," for fiscal year 2027 was officially proposed by the Governing Board on ",TEXT([1]Cover!$F$21,"mmmm dd, yyyy"),". The complete budget may be reviewed by contacting ",[1]Cover!$O$15," at ",[1]Cover!$M$16," or ",[1]Cover!$P$16,".")</f>
        <v>The budget of GAR, LLC (d.b.a. Student Choice High School) for fiscal year 2027 was officially proposed by the Governing Board on June 12, 2026. The complete budget may be reviewed by contacting Scott Lopez at 6023344104 or scott@schsaz.com.</v>
      </c>
      <c r="I3" s="12"/>
      <c r="J3" s="12"/>
      <c r="K3" s="12"/>
      <c r="L3" s="12"/>
      <c r="M3" s="13"/>
    </row>
    <row r="4" spans="1:15" ht="12" customHeight="1" x14ac:dyDescent="0.35">
      <c r="A4" s="14"/>
      <c r="D4" s="15" t="s">
        <v>5</v>
      </c>
      <c r="E4" s="15" t="s">
        <v>6</v>
      </c>
      <c r="F4" s="16" t="s">
        <v>7</v>
      </c>
      <c r="H4" s="17"/>
      <c r="I4" s="18"/>
      <c r="J4" s="18"/>
      <c r="K4" s="18"/>
      <c r="L4" s="18"/>
      <c r="M4" s="19"/>
    </row>
    <row r="5" spans="1:15" ht="12" customHeight="1" x14ac:dyDescent="0.35">
      <c r="A5" s="14" t="s">
        <v>8</v>
      </c>
      <c r="D5" s="20">
        <v>2026</v>
      </c>
      <c r="E5" s="20">
        <v>2027</v>
      </c>
      <c r="F5" s="21" t="s">
        <v>9</v>
      </c>
      <c r="H5" s="17"/>
      <c r="I5" s="18"/>
      <c r="J5" s="18"/>
      <c r="K5" s="18"/>
      <c r="L5" s="18"/>
      <c r="M5" s="19"/>
    </row>
    <row r="6" spans="1:15" ht="12" customHeight="1" x14ac:dyDescent="0.35">
      <c r="A6" s="14"/>
      <c r="B6" s="4" t="s">
        <v>10</v>
      </c>
      <c r="D6" s="22">
        <f>SP1000P100F1000CY</f>
        <v>8809353</v>
      </c>
      <c r="E6" s="22">
        <f>SP1000P100F1000</f>
        <v>8764561</v>
      </c>
      <c r="F6" s="23">
        <f>IF(D6=0," ",(E6-D6)/D6)</f>
        <v>-5.0845958834888332E-3</v>
      </c>
      <c r="H6" s="17"/>
      <c r="I6" s="18"/>
      <c r="J6" s="18"/>
      <c r="K6" s="18"/>
      <c r="L6" s="18"/>
      <c r="M6" s="19"/>
    </row>
    <row r="7" spans="1:15" ht="12" customHeight="1" x14ac:dyDescent="0.25">
      <c r="A7" s="14"/>
      <c r="B7" s="4" t="s">
        <v>11</v>
      </c>
      <c r="D7" s="24"/>
      <c r="E7" s="25"/>
      <c r="F7" s="24"/>
      <c r="H7" s="26"/>
      <c r="I7" s="27"/>
      <c r="J7" s="27"/>
      <c r="K7" s="27"/>
      <c r="L7" s="27"/>
      <c r="M7" s="28"/>
    </row>
    <row r="8" spans="1:15" ht="12" customHeight="1" x14ac:dyDescent="0.35">
      <c r="A8" s="14"/>
      <c r="C8" s="4" t="s">
        <v>12</v>
      </c>
      <c r="D8" s="22">
        <f>SP1000P100F2100CY</f>
        <v>2923513</v>
      </c>
      <c r="E8" s="29">
        <f>SP1000P100F2100</f>
        <v>3370463</v>
      </c>
      <c r="F8" s="30">
        <f>IF(D8=0," ",(E8-D8)/D8)</f>
        <v>0.15288113991625829</v>
      </c>
      <c r="H8" s="31"/>
      <c r="I8" s="31"/>
      <c r="J8" s="31"/>
      <c r="K8" s="31"/>
    </row>
    <row r="9" spans="1:15" ht="12" customHeight="1" x14ac:dyDescent="0.35">
      <c r="A9" s="14"/>
      <c r="C9" s="4" t="s">
        <v>13</v>
      </c>
      <c r="D9" s="32">
        <f>SP1000P100F2200CY</f>
        <v>0</v>
      </c>
      <c r="E9" s="32">
        <f>SP1000P100F2200</f>
        <v>108000</v>
      </c>
      <c r="F9" s="33" t="str">
        <f>IF(D9=0," ",(E9-D9)/D9)</f>
        <v xml:space="preserve"> </v>
      </c>
      <c r="H9" s="25"/>
      <c r="I9" s="7"/>
      <c r="J9" s="34"/>
      <c r="K9" s="35" t="s">
        <v>3</v>
      </c>
      <c r="L9" s="36"/>
      <c r="M9" s="10" t="s">
        <v>4</v>
      </c>
    </row>
    <row r="10" spans="1:15" ht="12" customHeight="1" x14ac:dyDescent="0.35">
      <c r="A10" s="14"/>
      <c r="C10" s="4" t="s">
        <v>14</v>
      </c>
      <c r="D10" s="32">
        <f>SP1000P100F2300CY</f>
        <v>0</v>
      </c>
      <c r="E10" s="32">
        <f>SP1000P100F2300</f>
        <v>0</v>
      </c>
      <c r="F10" s="23" t="str">
        <f t="shared" ref="F10:F21" si="0">IF(D10=0," ",(E10-D10)/D10)</f>
        <v xml:space="preserve"> </v>
      </c>
      <c r="H10" s="37" t="s">
        <v>15</v>
      </c>
      <c r="I10" s="38"/>
      <c r="J10" s="39"/>
      <c r="K10" s="15" t="s">
        <v>5</v>
      </c>
      <c r="L10" s="15" t="s">
        <v>6</v>
      </c>
      <c r="M10" s="16" t="s">
        <v>7</v>
      </c>
    </row>
    <row r="11" spans="1:15" ht="12" customHeight="1" x14ac:dyDescent="0.35">
      <c r="A11" s="14"/>
      <c r="C11" s="4" t="s">
        <v>16</v>
      </c>
      <c r="D11" s="32">
        <f>SP1000P100F2400CY</f>
        <v>3625916</v>
      </c>
      <c r="E11" s="32">
        <f>SP1000P100F2400</f>
        <v>4018959</v>
      </c>
      <c r="F11" s="23">
        <f t="shared" si="0"/>
        <v>0.10839826405244909</v>
      </c>
      <c r="H11" s="40"/>
      <c r="I11" s="41"/>
      <c r="J11" s="42"/>
      <c r="K11" s="20">
        <v>2026</v>
      </c>
      <c r="L11" s="20">
        <v>2027</v>
      </c>
      <c r="M11" s="21" t="s">
        <v>9</v>
      </c>
    </row>
    <row r="12" spans="1:15" ht="12" customHeight="1" x14ac:dyDescent="0.35">
      <c r="A12" s="14"/>
      <c r="C12" s="4" t="s">
        <v>17</v>
      </c>
      <c r="D12" s="32">
        <f>SP1000P100F2500CY</f>
        <v>584800</v>
      </c>
      <c r="E12" s="32">
        <f>SP1000P100F2500</f>
        <v>228200</v>
      </c>
      <c r="F12" s="23">
        <f t="shared" si="0"/>
        <v>-0.60978112175102595</v>
      </c>
      <c r="H12" s="43" t="s">
        <v>18</v>
      </c>
      <c r="I12" s="2"/>
      <c r="J12" s="44"/>
      <c r="K12" s="22">
        <f>'[1]Page 2'!M5</f>
        <v>480000</v>
      </c>
      <c r="L12" s="22">
        <f>'[1]Page 2'!N5</f>
        <v>422400</v>
      </c>
      <c r="M12" s="23">
        <f t="shared" ref="M12:M19" si="1">IF(K12=0," ",(L12-K12)/K12)</f>
        <v>-0.12</v>
      </c>
    </row>
    <row r="13" spans="1:15" ht="12" customHeight="1" x14ac:dyDescent="0.35">
      <c r="A13" s="14"/>
      <c r="C13" s="4" t="s">
        <v>19</v>
      </c>
      <c r="D13" s="32">
        <f>SP1000P100F2600CY</f>
        <v>1288921</v>
      </c>
      <c r="E13" s="32">
        <f>SP1000P100F2600</f>
        <v>1469220</v>
      </c>
      <c r="F13" s="23">
        <f t="shared" si="0"/>
        <v>0.13988367013959738</v>
      </c>
      <c r="H13" s="43" t="s">
        <v>20</v>
      </c>
      <c r="I13" s="2"/>
      <c r="J13" s="44"/>
      <c r="K13" s="22">
        <f>P200GiftedEducationCY</f>
        <v>0</v>
      </c>
      <c r="L13" s="32">
        <f>P200GiftedEducation</f>
        <v>0</v>
      </c>
      <c r="M13" s="23" t="str">
        <f t="shared" si="1"/>
        <v xml:space="preserve"> </v>
      </c>
    </row>
    <row r="14" spans="1:15" ht="12" customHeight="1" x14ac:dyDescent="0.35">
      <c r="A14" s="14"/>
      <c r="C14" s="4" t="s">
        <v>21</v>
      </c>
      <c r="D14" s="32">
        <f>SP1000P100F2900CY</f>
        <v>0</v>
      </c>
      <c r="E14" s="32">
        <f>SP1000P100F2900</f>
        <v>0</v>
      </c>
      <c r="F14" s="23" t="str">
        <f t="shared" si="0"/>
        <v xml:space="preserve"> </v>
      </c>
      <c r="H14" s="43" t="s">
        <v>22</v>
      </c>
      <c r="I14" s="2"/>
      <c r="J14" s="44"/>
      <c r="K14" s="22">
        <f>P200ELLIncrementalCostsCY</f>
        <v>0</v>
      </c>
      <c r="L14" s="32">
        <f>P200ELLIncrementalCosts</f>
        <v>0</v>
      </c>
      <c r="M14" s="23" t="str">
        <f t="shared" si="1"/>
        <v xml:space="preserve"> </v>
      </c>
    </row>
    <row r="15" spans="1:15" ht="12" customHeight="1" x14ac:dyDescent="0.35">
      <c r="A15" s="14"/>
      <c r="B15" s="4" t="s">
        <v>23</v>
      </c>
      <c r="D15" s="32">
        <f>SP1000P100F3000CY</f>
        <v>0</v>
      </c>
      <c r="E15" s="32">
        <f>SP1000P100F3000</f>
        <v>0</v>
      </c>
      <c r="F15" s="23" t="str">
        <f t="shared" si="0"/>
        <v xml:space="preserve"> </v>
      </c>
      <c r="H15" s="43" t="s">
        <v>24</v>
      </c>
      <c r="I15" s="2"/>
      <c r="J15" s="44"/>
      <c r="K15" s="32">
        <f>P200ELLCompensatoryInstructionCY</f>
        <v>0</v>
      </c>
      <c r="L15" s="32">
        <f>P200ELLCompensatoryInstruction</f>
        <v>0</v>
      </c>
      <c r="M15" s="23" t="str">
        <f t="shared" si="1"/>
        <v xml:space="preserve"> </v>
      </c>
    </row>
    <row r="16" spans="1:15" ht="12" customHeight="1" x14ac:dyDescent="0.35">
      <c r="A16" s="14"/>
      <c r="B16" s="4" t="s">
        <v>25</v>
      </c>
      <c r="D16" s="32">
        <f>SP1000P100F4000CY</f>
        <v>0</v>
      </c>
      <c r="E16" s="32">
        <f>SP1000P100F4000</f>
        <v>0</v>
      </c>
      <c r="F16" s="23" t="str">
        <f t="shared" si="0"/>
        <v xml:space="preserve"> </v>
      </c>
      <c r="H16" s="43" t="s">
        <v>26</v>
      </c>
      <c r="I16" s="2"/>
      <c r="J16" s="44"/>
      <c r="K16" s="32">
        <f>P200RemedialEducationCY</f>
        <v>0</v>
      </c>
      <c r="L16" s="32">
        <f>P200RemedialEducation</f>
        <v>0</v>
      </c>
      <c r="M16" s="23" t="str">
        <f t="shared" si="1"/>
        <v xml:space="preserve"> </v>
      </c>
    </row>
    <row r="17" spans="1:13" ht="12" customHeight="1" x14ac:dyDescent="0.35">
      <c r="A17" s="14"/>
      <c r="B17" s="4" t="s">
        <v>27</v>
      </c>
      <c r="D17" s="32">
        <f>SP1000P100F5000CY</f>
        <v>0</v>
      </c>
      <c r="E17" s="32">
        <f>SP1000P100F5000</f>
        <v>0</v>
      </c>
      <c r="F17" s="23" t="str">
        <f t="shared" si="0"/>
        <v xml:space="preserve"> </v>
      </c>
      <c r="H17" s="43" t="s">
        <v>28</v>
      </c>
      <c r="I17" s="2"/>
      <c r="J17" s="44"/>
      <c r="K17" s="32">
        <f>P200VocationalandTechnologicalEdCY</f>
        <v>0</v>
      </c>
      <c r="L17" s="32">
        <f>P200VocationalandTechnologicalEd</f>
        <v>0</v>
      </c>
      <c r="M17" s="23" t="str">
        <f t="shared" si="1"/>
        <v xml:space="preserve"> </v>
      </c>
    </row>
    <row r="18" spans="1:13" ht="12" customHeight="1" x14ac:dyDescent="0.35">
      <c r="A18" s="14" t="s">
        <v>29</v>
      </c>
      <c r="D18" s="32">
        <f>SP1000P610CY</f>
        <v>0</v>
      </c>
      <c r="E18" s="32">
        <f>SP1000P610</f>
        <v>0</v>
      </c>
      <c r="F18" s="23" t="str">
        <f t="shared" si="0"/>
        <v xml:space="preserve"> </v>
      </c>
      <c r="H18" s="43" t="s">
        <v>30</v>
      </c>
      <c r="I18" s="2"/>
      <c r="J18" s="44"/>
      <c r="K18" s="45">
        <f>P200CareerEducationCY</f>
        <v>0</v>
      </c>
      <c r="L18" s="45">
        <f>P200CareerEducation</f>
        <v>0</v>
      </c>
      <c r="M18" s="23" t="str">
        <f t="shared" si="1"/>
        <v xml:space="preserve"> </v>
      </c>
    </row>
    <row r="19" spans="1:13" ht="12" customHeight="1" x14ac:dyDescent="0.35">
      <c r="A19" s="14" t="s">
        <v>31</v>
      </c>
      <c r="D19" s="32">
        <f>SP1000P620CY</f>
        <v>0</v>
      </c>
      <c r="E19" s="32">
        <f>SP1000P620</f>
        <v>0</v>
      </c>
      <c r="F19" s="23" t="str">
        <f t="shared" si="0"/>
        <v xml:space="preserve"> </v>
      </c>
      <c r="H19" s="46" t="s">
        <v>32</v>
      </c>
      <c r="I19" s="47"/>
      <c r="J19" s="47"/>
      <c r="K19" s="32">
        <f>SUM(K12:K18)</f>
        <v>480000</v>
      </c>
      <c r="L19" s="32">
        <f>SUM(L12:L18)</f>
        <v>422400</v>
      </c>
      <c r="M19" s="48">
        <f t="shared" si="1"/>
        <v>-0.12</v>
      </c>
    </row>
    <row r="20" spans="1:13" ht="12" customHeight="1" x14ac:dyDescent="0.35">
      <c r="A20" s="14" t="s">
        <v>33</v>
      </c>
      <c r="D20" s="32">
        <f>SP1000P630700800900CY</f>
        <v>0</v>
      </c>
      <c r="E20" s="32">
        <f>SP1000P630700800900</f>
        <v>0</v>
      </c>
      <c r="F20" s="23" t="str">
        <f t="shared" si="0"/>
        <v xml:space="preserve"> </v>
      </c>
      <c r="H20" s="49"/>
      <c r="I20" s="49"/>
      <c r="K20" s="50"/>
      <c r="L20" s="50"/>
      <c r="M20" s="51"/>
    </row>
    <row r="21" spans="1:13" ht="12" customHeight="1" x14ac:dyDescent="0.35">
      <c r="A21" s="52"/>
      <c r="B21" s="53" t="s">
        <v>34</v>
      </c>
      <c r="C21" s="42"/>
      <c r="D21" s="32">
        <f>SUM(D6:D20)</f>
        <v>17232503</v>
      </c>
      <c r="E21" s="32">
        <f>SUM(E6:E20)</f>
        <v>17959403</v>
      </c>
      <c r="F21" s="23">
        <f t="shared" si="0"/>
        <v>4.2181916347265397E-2</v>
      </c>
      <c r="H21" s="54" t="s">
        <v>35</v>
      </c>
      <c r="I21" s="55"/>
      <c r="J21" s="55"/>
      <c r="K21" s="55"/>
      <c r="L21" s="56"/>
      <c r="M21" s="51"/>
    </row>
    <row r="22" spans="1:13" ht="12" customHeight="1" x14ac:dyDescent="0.35">
      <c r="A22" s="14" t="s">
        <v>36</v>
      </c>
      <c r="D22" s="24"/>
      <c r="E22" s="25"/>
      <c r="F22" s="24"/>
      <c r="H22" s="14"/>
      <c r="J22" s="57" t="s">
        <v>3</v>
      </c>
      <c r="K22" s="58"/>
      <c r="L22" s="16" t="s">
        <v>4</v>
      </c>
      <c r="M22" s="51"/>
    </row>
    <row r="23" spans="1:13" ht="12" customHeight="1" x14ac:dyDescent="0.35">
      <c r="A23" s="14"/>
      <c r="B23" s="4" t="s">
        <v>10</v>
      </c>
      <c r="D23" s="59">
        <f>SP1000P200F1000CY</f>
        <v>480000</v>
      </c>
      <c r="E23" s="60">
        <f>SP1000P200F1000</f>
        <v>422400</v>
      </c>
      <c r="F23" s="30">
        <f>IF(D23=0," ",(E23-D23)/D23)</f>
        <v>-0.12</v>
      </c>
      <c r="H23" s="14"/>
      <c r="J23" s="15" t="s">
        <v>5</v>
      </c>
      <c r="K23" s="15" t="s">
        <v>6</v>
      </c>
      <c r="L23" s="16" t="s">
        <v>7</v>
      </c>
      <c r="M23" s="51"/>
    </row>
    <row r="24" spans="1:13" ht="12" customHeight="1" x14ac:dyDescent="0.35">
      <c r="A24" s="14"/>
      <c r="B24" s="4" t="s">
        <v>11</v>
      </c>
      <c r="D24" s="24"/>
      <c r="E24" s="24"/>
      <c r="F24" s="33"/>
      <c r="H24" s="61"/>
      <c r="J24" s="20">
        <v>2026</v>
      </c>
      <c r="K24" s="20">
        <v>2027</v>
      </c>
      <c r="L24" s="21" t="s">
        <v>9</v>
      </c>
      <c r="M24" s="51"/>
    </row>
    <row r="25" spans="1:13" ht="12" customHeight="1" x14ac:dyDescent="0.35">
      <c r="A25" s="14"/>
      <c r="C25" s="4" t="s">
        <v>12</v>
      </c>
      <c r="D25" s="22">
        <f>SP1000P200F2100CY</f>
        <v>0</v>
      </c>
      <c r="E25" s="22">
        <f>SP1000P200F2100</f>
        <v>0</v>
      </c>
      <c r="F25" s="30" t="str">
        <f t="shared" ref="F25:F41" si="2">IF(D25=0," ",(E25-D25)/D25)</f>
        <v xml:space="preserve"> </v>
      </c>
      <c r="H25" s="62" t="s">
        <v>37</v>
      </c>
      <c r="I25" s="63"/>
      <c r="J25" s="22">
        <f>SP1000TotalCY</f>
        <v>17718503</v>
      </c>
      <c r="K25" s="22">
        <f>SP1000Total</f>
        <v>18386603</v>
      </c>
      <c r="L25" s="48">
        <f>IF(J25=0," ",(K25-J25)/J25)</f>
        <v>3.7706345733609661E-2</v>
      </c>
      <c r="M25" s="51"/>
    </row>
    <row r="26" spans="1:13" ht="12" customHeight="1" x14ac:dyDescent="0.35">
      <c r="A26" s="14"/>
      <c r="C26" s="4" t="s">
        <v>13</v>
      </c>
      <c r="D26" s="22">
        <f>SP1000P200F2200CY</f>
        <v>0</v>
      </c>
      <c r="E26" s="22">
        <f>SP1000P200F2200</f>
        <v>0</v>
      </c>
      <c r="F26" s="33" t="str">
        <f t="shared" si="2"/>
        <v xml:space="preserve"> </v>
      </c>
      <c r="H26" s="64" t="s">
        <v>38</v>
      </c>
      <c r="I26" s="63"/>
      <c r="J26" s="32">
        <f>SP1000ClassSiteProjCY</f>
        <v>1922280</v>
      </c>
      <c r="K26" s="32">
        <f>SP1000ClassSiteProj</f>
        <v>1742797</v>
      </c>
      <c r="L26" s="48">
        <f t="shared" ref="L26:L33" si="3">IF(J26=0," ",(K26-J26)/J26)</f>
        <v>-9.3369852466862274E-2</v>
      </c>
      <c r="M26" s="51"/>
    </row>
    <row r="27" spans="1:13" ht="12" customHeight="1" x14ac:dyDescent="0.35">
      <c r="A27" s="14"/>
      <c r="C27" s="4" t="s">
        <v>14</v>
      </c>
      <c r="D27" s="22">
        <f>SP1000P200F2300CY</f>
        <v>0</v>
      </c>
      <c r="E27" s="22">
        <f>SP1000P200F2300</f>
        <v>0</v>
      </c>
      <c r="F27" s="23" t="str">
        <f t="shared" si="2"/>
        <v xml:space="preserve"> </v>
      </c>
      <c r="H27" s="64" t="s">
        <v>39</v>
      </c>
      <c r="I27" s="63"/>
      <c r="J27" s="32">
        <f>SP1000InstrImpProjCY</f>
        <v>75000</v>
      </c>
      <c r="K27" s="32">
        <f>SP1000InstrImpProj</f>
        <v>75000</v>
      </c>
      <c r="L27" s="48">
        <f t="shared" si="3"/>
        <v>0</v>
      </c>
      <c r="M27" s="51"/>
    </row>
    <row r="28" spans="1:13" ht="12" customHeight="1" x14ac:dyDescent="0.35">
      <c r="A28" s="14"/>
      <c r="C28" s="4" t="s">
        <v>16</v>
      </c>
      <c r="D28" s="22">
        <f>SP1000P200F2400CY</f>
        <v>0</v>
      </c>
      <c r="E28" s="22">
        <f>SP1000P200F2400</f>
        <v>0</v>
      </c>
      <c r="F28" s="23" t="str">
        <f t="shared" si="2"/>
        <v xml:space="preserve"> </v>
      </c>
      <c r="H28" s="64" t="s">
        <v>40</v>
      </c>
      <c r="I28" s="63"/>
      <c r="J28" s="32">
        <f>SP1000StruEngImmProjCY</f>
        <v>85800</v>
      </c>
      <c r="K28" s="32">
        <f>SP1000StruEngImmProj</f>
        <v>85800</v>
      </c>
      <c r="L28" s="48">
        <f t="shared" si="3"/>
        <v>0</v>
      </c>
      <c r="M28" s="51"/>
    </row>
    <row r="29" spans="1:13" ht="12" customHeight="1" x14ac:dyDescent="0.35">
      <c r="A29" s="14"/>
      <c r="C29" s="4" t="s">
        <v>17</v>
      </c>
      <c r="D29" s="22">
        <f>SP1000P200F2500CY</f>
        <v>0</v>
      </c>
      <c r="E29" s="22">
        <f>SP1000P200F2500</f>
        <v>0</v>
      </c>
      <c r="F29" s="23" t="str">
        <f t="shared" si="2"/>
        <v xml:space="preserve"> </v>
      </c>
      <c r="H29" s="64" t="s">
        <v>41</v>
      </c>
      <c r="I29" s="63"/>
      <c r="J29" s="32">
        <f>SP1000CompInstrProjCY</f>
        <v>0</v>
      </c>
      <c r="K29" s="32">
        <f>SP1000CompInstrProj</f>
        <v>0</v>
      </c>
      <c r="L29" s="48" t="str">
        <f t="shared" si="3"/>
        <v xml:space="preserve"> </v>
      </c>
      <c r="M29" s="51"/>
    </row>
    <row r="30" spans="1:13" ht="12" customHeight="1" x14ac:dyDescent="0.35">
      <c r="A30" s="14"/>
      <c r="C30" s="4" t="s">
        <v>19</v>
      </c>
      <c r="D30" s="22">
        <f>SP1000P200F2600CY</f>
        <v>0</v>
      </c>
      <c r="E30" s="22">
        <f>SP1000P200F2600</f>
        <v>0</v>
      </c>
      <c r="F30" s="23" t="str">
        <f t="shared" si="2"/>
        <v xml:space="preserve"> </v>
      </c>
      <c r="H30" s="64" t="s">
        <v>42</v>
      </c>
      <c r="I30" s="63"/>
      <c r="J30" s="32">
        <f>TotalFederalProjectsCY</f>
        <v>0</v>
      </c>
      <c r="K30" s="32">
        <f>TotalFederalProjects</f>
        <v>0</v>
      </c>
      <c r="L30" s="48" t="str">
        <f t="shared" si="3"/>
        <v xml:space="preserve"> </v>
      </c>
      <c r="M30" s="51"/>
    </row>
    <row r="31" spans="1:13" ht="12" customHeight="1" x14ac:dyDescent="0.35">
      <c r="A31" s="14"/>
      <c r="C31" s="4" t="s">
        <v>21</v>
      </c>
      <c r="D31" s="22">
        <f>SP1000P200F2900CY</f>
        <v>0</v>
      </c>
      <c r="E31" s="22">
        <f>SP1000P200F2900</f>
        <v>0</v>
      </c>
      <c r="F31" s="23" t="str">
        <f t="shared" si="2"/>
        <v xml:space="preserve"> </v>
      </c>
      <c r="H31" s="64" t="s">
        <v>43</v>
      </c>
      <c r="I31" s="63"/>
      <c r="J31" s="32">
        <f>TotalStateProjectsCY</f>
        <v>0</v>
      </c>
      <c r="K31" s="32">
        <f>TotalStateProjects</f>
        <v>0</v>
      </c>
      <c r="L31" s="48" t="str">
        <f t="shared" si="3"/>
        <v xml:space="preserve"> </v>
      </c>
      <c r="M31" s="51"/>
    </row>
    <row r="32" spans="1:13" ht="12" customHeight="1" x14ac:dyDescent="0.35">
      <c r="A32" s="14"/>
      <c r="B32" s="4" t="s">
        <v>23</v>
      </c>
      <c r="D32" s="22">
        <f>SP1000P200F3000CY</f>
        <v>0</v>
      </c>
      <c r="E32" s="22">
        <f>SP1000P200F3000</f>
        <v>0</v>
      </c>
      <c r="F32" s="23" t="str">
        <f t="shared" si="2"/>
        <v xml:space="preserve"> </v>
      </c>
      <c r="H32" s="64" t="s">
        <v>44</v>
      </c>
      <c r="I32" s="63"/>
      <c r="J32" s="32">
        <f>TotalCapitalAcquisitionsCY</f>
        <v>0</v>
      </c>
      <c r="K32" s="32">
        <f>TotalCapitalAcquisitions</f>
        <v>0</v>
      </c>
      <c r="L32" s="48" t="str">
        <f t="shared" si="3"/>
        <v xml:space="preserve"> </v>
      </c>
      <c r="M32" s="51"/>
    </row>
    <row r="33" spans="1:14" ht="12" customHeight="1" x14ac:dyDescent="0.35">
      <c r="A33" s="14"/>
      <c r="B33" s="4" t="s">
        <v>25</v>
      </c>
      <c r="D33" s="22">
        <f>SP1000P200F4000CY</f>
        <v>0</v>
      </c>
      <c r="E33" s="22">
        <f>SP1000P200F4000</f>
        <v>0</v>
      </c>
      <c r="F33" s="23" t="str">
        <f t="shared" si="2"/>
        <v xml:space="preserve"> </v>
      </c>
      <c r="H33" s="64" t="s">
        <v>45</v>
      </c>
      <c r="I33" s="63"/>
      <c r="J33" s="32">
        <f>SUM(J25:J32)</f>
        <v>19801583</v>
      </c>
      <c r="K33" s="32">
        <f>SUM(K25:K32)</f>
        <v>20290200</v>
      </c>
      <c r="L33" s="48">
        <f t="shared" si="3"/>
        <v>2.4675653456594858E-2</v>
      </c>
    </row>
    <row r="34" spans="1:14" ht="12" customHeight="1" x14ac:dyDescent="0.35">
      <c r="A34" s="14"/>
      <c r="B34" s="4" t="s">
        <v>27</v>
      </c>
      <c r="D34" s="22">
        <f>SP1000P200F5000CY</f>
        <v>0</v>
      </c>
      <c r="E34" s="22">
        <f>SP1000P200F5000</f>
        <v>0</v>
      </c>
      <c r="F34" s="23" t="str">
        <f t="shared" si="2"/>
        <v xml:space="preserve"> </v>
      </c>
    </row>
    <row r="35" spans="1:14" ht="12" customHeight="1" x14ac:dyDescent="0.35">
      <c r="A35" s="14"/>
      <c r="B35" s="4" t="s">
        <v>46</v>
      </c>
      <c r="C35" s="39"/>
      <c r="D35" s="45">
        <f>SUM(D23:D34)</f>
        <v>480000</v>
      </c>
      <c r="E35" s="45">
        <f>SUM(E23:E34)</f>
        <v>422400</v>
      </c>
      <c r="F35" s="23">
        <f t="shared" si="2"/>
        <v>-0.12</v>
      </c>
      <c r="H35" s="65" t="s">
        <v>47</v>
      </c>
      <c r="I35" s="65"/>
      <c r="J35" s="65"/>
      <c r="K35" s="65"/>
      <c r="L35" s="65"/>
      <c r="M35" s="66" t="str">
        <f>IF(L37&lt;1,"Enter average salary on the budget Cover","")</f>
        <v/>
      </c>
      <c r="N35" s="67"/>
    </row>
    <row r="36" spans="1:14" ht="0.75" customHeight="1" x14ac:dyDescent="0.35">
      <c r="A36" s="52" t="s">
        <v>48</v>
      </c>
      <c r="B36" s="53"/>
      <c r="C36" s="42"/>
      <c r="D36" s="22"/>
      <c r="E36" s="22"/>
      <c r="F36" s="30"/>
      <c r="J36" s="68"/>
      <c r="K36" s="68"/>
      <c r="L36" s="68"/>
      <c r="M36" s="66"/>
      <c r="N36" s="67"/>
    </row>
    <row r="37" spans="1:14" ht="12" customHeight="1" x14ac:dyDescent="0.35">
      <c r="A37" s="62" t="s">
        <v>49</v>
      </c>
      <c r="B37" s="63"/>
      <c r="C37" s="69"/>
      <c r="D37" s="32">
        <f>SP1000P400CY</f>
        <v>6000</v>
      </c>
      <c r="E37" s="32">
        <f>SP1000P400</f>
        <v>4800</v>
      </c>
      <c r="F37" s="48">
        <f t="shared" si="2"/>
        <v>-0.2</v>
      </c>
      <c r="H37" s="70" t="s">
        <v>50</v>
      </c>
      <c r="I37" s="70"/>
      <c r="J37" s="70"/>
      <c r="K37" s="70"/>
      <c r="L37" s="71">
        <f>BudgetYearSalary</f>
        <v>65807</v>
      </c>
      <c r="M37" s="66"/>
      <c r="N37" s="67"/>
    </row>
    <row r="38" spans="1:14" ht="12" customHeight="1" x14ac:dyDescent="0.35">
      <c r="A38" s="62" t="s">
        <v>51</v>
      </c>
      <c r="B38" s="63"/>
      <c r="C38" s="69"/>
      <c r="D38" s="32">
        <f>SP1000P530CY</f>
        <v>0</v>
      </c>
      <c r="E38" s="32">
        <f>SP1000P530</f>
        <v>0</v>
      </c>
      <c r="F38" s="48" t="str">
        <f t="shared" si="2"/>
        <v xml:space="preserve"> </v>
      </c>
      <c r="H38" s="70" t="s">
        <v>52</v>
      </c>
      <c r="I38" s="70"/>
      <c r="J38" s="70"/>
      <c r="K38" s="70"/>
      <c r="L38" s="71">
        <f>PriorYearSalary</f>
        <v>64517</v>
      </c>
      <c r="M38" s="66"/>
      <c r="N38" s="67"/>
    </row>
    <row r="39" spans="1:14" ht="12" customHeight="1" x14ac:dyDescent="0.35">
      <c r="A39" s="62" t="s">
        <v>53</v>
      </c>
      <c r="B39" s="63"/>
      <c r="C39" s="69"/>
      <c r="D39" s="32">
        <f>SP1000P540CY</f>
        <v>0</v>
      </c>
      <c r="E39" s="32">
        <f>SP1000P540</f>
        <v>0</v>
      </c>
      <c r="F39" s="48" t="str">
        <f t="shared" si="2"/>
        <v xml:space="preserve"> </v>
      </c>
      <c r="H39" s="70" t="s">
        <v>54</v>
      </c>
      <c r="I39" s="70"/>
      <c r="J39" s="70"/>
      <c r="K39" s="70"/>
      <c r="L39" s="71">
        <f>SalaryIncreaseFromPriorYear</f>
        <v>1290</v>
      </c>
      <c r="M39" s="66"/>
      <c r="N39" s="67"/>
    </row>
    <row r="40" spans="1:14" ht="12" customHeight="1" x14ac:dyDescent="0.35">
      <c r="A40" s="52" t="s">
        <v>55</v>
      </c>
      <c r="B40" s="53"/>
      <c r="C40" s="42"/>
      <c r="D40" s="32">
        <f>SP1000P550CY</f>
        <v>0</v>
      </c>
      <c r="E40" s="32">
        <f>SP1000P550</f>
        <v>0</v>
      </c>
      <c r="F40" s="48" t="str">
        <f t="shared" si="2"/>
        <v xml:space="preserve"> </v>
      </c>
      <c r="H40" s="70" t="s">
        <v>56</v>
      </c>
      <c r="I40" s="70"/>
      <c r="J40" s="70"/>
      <c r="K40" s="70"/>
      <c r="L40" s="72">
        <f>SalaryPercentageIncrease</f>
        <v>0.02</v>
      </c>
      <c r="M40" s="66"/>
      <c r="N40" s="67"/>
    </row>
    <row r="41" spans="1:14" ht="12" customHeight="1" x14ac:dyDescent="0.35">
      <c r="A41" s="52"/>
      <c r="B41" s="53"/>
      <c r="C41" s="42" t="s">
        <v>32</v>
      </c>
      <c r="D41" s="22">
        <f>SUM(D35:D40)+D21</f>
        <v>17718503</v>
      </c>
      <c r="E41" s="22">
        <f>SUM(E35:E40)+E21</f>
        <v>18386603</v>
      </c>
      <c r="F41" s="48">
        <f t="shared" si="2"/>
        <v>3.7706345733609661E-2</v>
      </c>
      <c r="H41" s="73" t="str">
        <f>IF(AverageSalaryCalculationComment&lt;&gt;"",AverageSalaryCalculationComment,"")</f>
        <v>Comments on average salary calculation (optional):</v>
      </c>
      <c r="I41" s="74"/>
      <c r="J41" s="74"/>
      <c r="K41" s="74"/>
      <c r="L41" s="75"/>
      <c r="M41" s="66"/>
    </row>
    <row r="42" spans="1:14" ht="12" customHeight="1" x14ac:dyDescent="0.35">
      <c r="D42" s="50"/>
      <c r="E42" s="50"/>
      <c r="F42" s="51"/>
      <c r="H42" s="76"/>
      <c r="I42" s="77"/>
      <c r="J42" s="77"/>
      <c r="K42" s="77"/>
      <c r="L42" s="78"/>
      <c r="M42" s="66"/>
    </row>
    <row r="43" spans="1:14" ht="12" customHeight="1" x14ac:dyDescent="0.25">
      <c r="H43" s="76"/>
      <c r="I43" s="77"/>
      <c r="J43" s="77"/>
      <c r="K43" s="77"/>
      <c r="L43" s="78"/>
      <c r="M43" s="66"/>
    </row>
    <row r="44" spans="1:14" ht="12" customHeight="1" x14ac:dyDescent="0.25">
      <c r="H44" s="76"/>
      <c r="I44" s="77"/>
      <c r="J44" s="77"/>
      <c r="K44" s="77"/>
      <c r="L44" s="78"/>
      <c r="M44" s="66"/>
    </row>
    <row r="45" spans="1:14" ht="12" customHeight="1" x14ac:dyDescent="0.25">
      <c r="H45" s="76"/>
      <c r="I45" s="77"/>
      <c r="J45" s="77"/>
      <c r="K45" s="77"/>
      <c r="L45" s="78"/>
      <c r="M45" s="66"/>
    </row>
    <row r="46" spans="1:14" ht="12" customHeight="1" x14ac:dyDescent="0.25">
      <c r="H46" s="76"/>
      <c r="I46" s="77"/>
      <c r="J46" s="77"/>
      <c r="K46" s="77"/>
      <c r="L46" s="78"/>
      <c r="M46" s="79"/>
    </row>
    <row r="47" spans="1:14" ht="12" customHeight="1" x14ac:dyDescent="0.25">
      <c r="H47" s="80"/>
      <c r="I47" s="81"/>
      <c r="J47" s="81"/>
      <c r="K47" s="81"/>
      <c r="L47" s="82"/>
      <c r="M47" s="79"/>
    </row>
    <row r="48" spans="1:14" ht="12.75" customHeight="1" x14ac:dyDescent="0.25"/>
    <row r="49" spans="8:8" ht="12.75" customHeight="1" x14ac:dyDescent="0.25"/>
    <row r="50" spans="8:8" ht="12.75" customHeight="1" x14ac:dyDescent="0.25"/>
    <row r="51" spans="8:8" ht="12.75" customHeight="1" x14ac:dyDescent="0.25"/>
    <row r="52" spans="8:8" ht="12.75" customHeight="1" x14ac:dyDescent="0.25"/>
    <row r="53" spans="8:8" ht="12.75" customHeight="1" x14ac:dyDescent="0.25">
      <c r="H53" s="83"/>
    </row>
    <row r="54" spans="8:8" ht="12.75" customHeight="1" x14ac:dyDescent="0.25"/>
    <row r="55" spans="8:8" ht="12.75" customHeight="1" x14ac:dyDescent="0.25"/>
  </sheetData>
  <mergeCells count="15">
    <mergeCell ref="H21:L21"/>
    <mergeCell ref="J22:K22"/>
    <mergeCell ref="H35:L35"/>
    <mergeCell ref="M35:M45"/>
    <mergeCell ref="H37:K37"/>
    <mergeCell ref="H38:K38"/>
    <mergeCell ref="H39:K39"/>
    <mergeCell ref="H40:K40"/>
    <mergeCell ref="H41:L47"/>
    <mergeCell ref="A1:J1"/>
    <mergeCell ref="N1:O1"/>
    <mergeCell ref="D3:E3"/>
    <mergeCell ref="H3:M7"/>
    <mergeCell ref="K9:L9"/>
    <mergeCell ref="H19:J19"/>
  </mergeCells>
  <hyperlinks>
    <hyperlink ref="N1" location="BudgetSummary" display="Instructions" xr:uid="{5B727283-E695-43FB-A2A3-2AD7529148E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Trevor Lopez</dc:creator>
  <cp:lastModifiedBy>Trevor Lopez</cp:lastModifiedBy>
  <dcterms:created xsi:type="dcterms:W3CDTF">2026-06-11T22:06:37Z</dcterms:created>
  <dcterms:modified xsi:type="dcterms:W3CDTF">2026-06-12T16:26:35Z</dcterms:modified>
</cp:coreProperties>
</file>